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yd\Documents\"/>
    </mc:Choice>
  </mc:AlternateContent>
  <bookViews>
    <workbookView xWindow="0" yWindow="0" windowWidth="28800" windowHeight="12435"/>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3" i="1" l="1"/>
  <c r="E65" i="1"/>
  <c r="E62" i="1"/>
  <c r="K78" i="1"/>
  <c r="C62" i="1" s="1"/>
  <c r="J79" i="1"/>
  <c r="J78" i="1"/>
  <c r="C65" i="1" s="1"/>
  <c r="E73" i="1"/>
  <c r="E72" i="1"/>
  <c r="C26" i="1" l="1"/>
  <c r="J153" i="1"/>
  <c r="I153" i="1"/>
  <c r="H153" i="1"/>
  <c r="C173" i="1" s="1"/>
  <c r="C174" i="1" s="1"/>
  <c r="I160" i="1"/>
  <c r="H160" i="1"/>
  <c r="I159" i="1"/>
  <c r="H159" i="1"/>
  <c r="I158" i="1"/>
  <c r="H158" i="1"/>
  <c r="H155" i="1"/>
  <c r="I155" i="1"/>
  <c r="I154" i="1"/>
  <c r="H154" i="1"/>
  <c r="C168" i="1" s="1"/>
  <c r="C169" i="1" s="1"/>
  <c r="C162" i="1" l="1"/>
  <c r="C163" i="1" s="1"/>
  <c r="C55" i="1"/>
  <c r="C30" i="1"/>
  <c r="C44" i="1" s="1"/>
  <c r="C46" i="1" s="1"/>
  <c r="C47" i="1" s="1"/>
  <c r="C24" i="1"/>
  <c r="C31" i="1" l="1"/>
  <c r="C38" i="1" s="1"/>
  <c r="C35" i="1" l="1"/>
  <c r="C36" i="1" s="1"/>
  <c r="C34" i="1"/>
  <c r="C39" i="1"/>
  <c r="C41" i="1" s="1"/>
  <c r="C43" i="1" s="1"/>
  <c r="C49" i="1" s="1"/>
  <c r="C50" i="1" s="1"/>
  <c r="C52" i="1" s="1"/>
  <c r="C57" i="1" s="1"/>
  <c r="C58" i="1" s="1"/>
  <c r="C59" i="1" s="1"/>
  <c r="E38" i="1" l="1"/>
  <c r="C61" i="1"/>
  <c r="C64" i="1"/>
</calcChain>
</file>

<file path=xl/sharedStrings.xml><?xml version="1.0" encoding="utf-8"?>
<sst xmlns="http://schemas.openxmlformats.org/spreadsheetml/2006/main" count="150" uniqueCount="107">
  <si>
    <t>sq m</t>
  </si>
  <si>
    <t>A/C weight for aerobatic</t>
  </si>
  <si>
    <t>kg</t>
  </si>
  <si>
    <t>Design Acceleration</t>
  </si>
  <si>
    <t>g</t>
  </si>
  <si>
    <t>Design Load factor</t>
  </si>
  <si>
    <t>No wings</t>
  </si>
  <si>
    <t>Wing load</t>
  </si>
  <si>
    <t>kg/sq m</t>
  </si>
  <si>
    <t>Uniform Wing load</t>
  </si>
  <si>
    <t>Moment from rectangle</t>
  </si>
  <si>
    <t>w</t>
  </si>
  <si>
    <t>kg/m</t>
  </si>
  <si>
    <t>kg.m</t>
  </si>
  <si>
    <t>Moment from triangle</t>
  </si>
  <si>
    <t>W</t>
  </si>
  <si>
    <t>WL/2</t>
  </si>
  <si>
    <t>kg chk</t>
  </si>
  <si>
    <t>WL/3</t>
  </si>
  <si>
    <t>Total moment</t>
  </si>
  <si>
    <t>F</t>
  </si>
  <si>
    <t>Force</t>
  </si>
  <si>
    <t>V</t>
  </si>
  <si>
    <t>V on one bolt</t>
  </si>
  <si>
    <t>V on one bolt, one surface</t>
  </si>
  <si>
    <t>F=M/d</t>
  </si>
  <si>
    <t>F on each bolt</t>
  </si>
  <si>
    <t>F on one bolt one surface</t>
  </si>
  <si>
    <t>Resultant</t>
  </si>
  <si>
    <t>mm</t>
  </si>
  <si>
    <t>Bolt dia</t>
  </si>
  <si>
    <t>Bolt area</t>
  </si>
  <si>
    <t>sq mm</t>
  </si>
  <si>
    <t>Bolt shear stress</t>
  </si>
  <si>
    <t>kg/sq mm</t>
  </si>
  <si>
    <t>lb/sq mm</t>
  </si>
  <si>
    <t>psi</t>
  </si>
  <si>
    <t>FS for fatique</t>
  </si>
  <si>
    <t>FS on yield</t>
  </si>
  <si>
    <t>NAS bolts have a higher tensile strength (usually about 160,000 psi) and can be identified by a cupped out head. Close tolerance bolts are machined more accurately than general purpose bolts and they are used in applications requiring a very tight fit. Close tolerance bolts can be either AN or NAS and typically have a head marking consisting of a raised or recessed triangle.</t>
  </si>
  <si>
    <t>NAS Bolts</t>
  </si>
  <si>
    <t>NAS shear bolts have a distinctive thin style, dimpled hex head and short thread. To be used in only shear applications with no threads exposed in the shear plain. Because of this their grips are available in increments of 1/16th of an inch. Thread length is consistent within each diameter, the 1100/6200 series have a shorter thread that requires a shear type nut. The 1300/6600 series have a longer thread for selection convenience. Since the important dimension is the un-threaded grip, the dash numbers indicate the grip length in 1/16ths of an inch. It is possible to adjust the grip length with extra washers, including 1/32nd thin AN washers if desired. In all cases, a counter sunk (or chamfered) MS2002C washer must be used under the head to clear the under-head shank radius. These bolts are used in applications where a premium quality, high strength bolt is required.</t>
  </si>
  <si>
    <t>The older 1100 and 1300 series is now being replaced with the improved 6200 and 6600 series. The newer series feature a fatter "J" thread and roller burnished head to shank radius, both greatly improving fatigue strength.</t>
  </si>
  <si>
    <t>The Diameter is represented by a number e.g. 03 is 3/16", 04 is 1/4", 05 is 5/16" and 06 is 3/8".</t>
  </si>
  <si>
    <t>NAS bolts are sized by grip length in 1/16" increments denoted also by a number e.g. -5 which is 5/16" of plain load bearing shank. (See the grip length charts page for overall length details).</t>
  </si>
  <si>
    <r>
      <t xml:space="preserve">Putting that together gives you the bolt you require e.g. </t>
    </r>
    <r>
      <rPr>
        <b/>
        <sz val="11"/>
        <color theme="1"/>
        <rFont val="Calibri"/>
        <family val="2"/>
        <scheme val="minor"/>
      </rPr>
      <t>6603-7</t>
    </r>
    <r>
      <rPr>
        <sz val="11"/>
        <color theme="1"/>
        <rFont val="Calibri"/>
        <family val="2"/>
        <scheme val="minor"/>
      </rPr>
      <t xml:space="preserve"> has a standard thread length (</t>
    </r>
    <r>
      <rPr>
        <b/>
        <sz val="11"/>
        <color theme="1"/>
        <rFont val="Calibri"/>
        <family val="2"/>
        <scheme val="minor"/>
      </rPr>
      <t>66</t>
    </r>
    <r>
      <rPr>
        <sz val="11"/>
        <color theme="1"/>
        <rFont val="Calibri"/>
        <family val="2"/>
        <scheme val="minor"/>
      </rPr>
      <t>) is 3/16" in diameter (</t>
    </r>
    <r>
      <rPr>
        <b/>
        <sz val="11"/>
        <color theme="1"/>
        <rFont val="Calibri"/>
        <family val="2"/>
        <scheme val="minor"/>
      </rPr>
      <t>03</t>
    </r>
    <r>
      <rPr>
        <sz val="11"/>
        <color theme="1"/>
        <rFont val="Calibri"/>
        <family val="2"/>
        <scheme val="minor"/>
      </rPr>
      <t>) and has a grip length of 7/16" (</t>
    </r>
    <r>
      <rPr>
        <b/>
        <sz val="11"/>
        <color theme="1"/>
        <rFont val="Calibri"/>
        <family val="2"/>
        <scheme val="minor"/>
      </rPr>
      <t>-7</t>
    </r>
    <r>
      <rPr>
        <sz val="11"/>
        <color theme="1"/>
        <rFont val="Calibri"/>
        <family val="2"/>
        <scheme val="minor"/>
      </rPr>
      <t>).</t>
    </r>
  </si>
  <si>
    <t>Optimized Beta-Titanium Alloy</t>
  </si>
  <si>
    <t>SPS TITAN 761 titanium alloy is an optimized beta-titanium</t>
  </si>
  <si>
    <t>alloy, which conforms to the chemistry requirements of AMS</t>
  </si>
  <si>
    <t>4958 (3Al-8V-6Cr-4Zr-4Mo). Following an exhaustive study of</t>
  </si>
  <si>
    <t>candidate materials, SPS chose this alloy and prescribed special</t>
  </si>
  <si>
    <t>processing requirements for the raw material so that the alloy</t>
  </si>
  <si>
    <t>meets target material property requirements.</t>
  </si>
  <si>
    <t>Other titanium alloys, like Ti-6Al-4V (AMS 4967), are</t>
  </si>
  <si>
    <t>acceptable for fastener manufacturing. However, the size</t>
  </si>
  <si>
    <t>threshold for Ti-6Al-4V is 3/4". Larger parts do not meet the</t>
  </si>
  <si>
    <t>strength requirements of aerospace bolt specifications due to</t>
  </si>
  <si>
    <t>hardenability limitations.</t>
  </si>
  <si>
    <t>Titanium alloys that are able to maintain full strength in larger</t>
  </si>
  <si>
    <t>size parts have formability, notch sensitivity and property scatter</t>
  </si>
  <si>
    <t>issues that limit their use for fastener production.</t>
  </si>
  <si>
    <t>SPS TITAN™ 160 Titanium Alloy Fasteners - Larger</t>
  </si>
  <si>
    <t>Users forced to switch from titanium to heavier steel or CRES</t>
  </si>
  <si>
    <t>alloy parts because of fastener size design requirements now have</t>
  </si>
  <si>
    <t>a new option. SPS offers SPS TITAN 160 titanium alloy tension</t>
  </si>
  <si>
    <t>bolts manufactured from SPS TITAN 761 titanium alloy in sizes</t>
  </si>
  <si>
    <t>from 3/4" to 1-1/2" that meet existing titanium bolt specifications,</t>
  </si>
  <si>
    <t>including NAS 621, NAS 4004, AS 7460 and AS 7461.</t>
  </si>
  <si>
    <t>These fasteners maintain 160 ksi tensile and 95 ksi shear strength</t>
  </si>
  <si>
    <t>properties, and exhibit excellent fatigue performance. SPS TITAN</t>
  </si>
  <si>
    <t>160 titanium alloy bolts and companion nuts are available in a</t>
  </si>
  <si>
    <t>variety of configurations.</t>
  </si>
  <si>
    <t>Design shear stress</t>
  </si>
  <si>
    <t>Wing planform</t>
  </si>
  <si>
    <t>One Wing Area</t>
  </si>
  <si>
    <t>Difference</t>
  </si>
  <si>
    <t>LEFT</t>
  </si>
  <si>
    <t>Wing</t>
  </si>
  <si>
    <t>Fuselage</t>
  </si>
  <si>
    <t>Bolts</t>
  </si>
  <si>
    <t>Front top</t>
  </si>
  <si>
    <t>Front lower</t>
  </si>
  <si>
    <t>Aft</t>
  </si>
  <si>
    <t>RIGHT</t>
  </si>
  <si>
    <t>Wing tip movement -RHS</t>
  </si>
  <si>
    <t>Total movement at wing root-RHS</t>
  </si>
  <si>
    <t>Total movement at wing root-LHS</t>
  </si>
  <si>
    <t>Wing tip movement - LHS</t>
  </si>
  <si>
    <t>Case 1</t>
  </si>
  <si>
    <t>Case 2</t>
  </si>
  <si>
    <t>17-4 PH SS H900</t>
  </si>
  <si>
    <t>T.S</t>
  </si>
  <si>
    <t>N/mm2</t>
  </si>
  <si>
    <t>Y.S</t>
  </si>
  <si>
    <t>UTS</t>
  </si>
  <si>
    <t>YS@2%</t>
  </si>
  <si>
    <t>Ref 1</t>
  </si>
  <si>
    <t>Ref 2</t>
  </si>
  <si>
    <t>Ref 3</t>
  </si>
  <si>
    <t>Ref 4</t>
  </si>
  <si>
    <t>Ref 5</t>
  </si>
  <si>
    <t>Selected</t>
  </si>
  <si>
    <t>Shear</t>
  </si>
  <si>
    <t>Steel Ult Shear Strength</t>
  </si>
  <si>
    <t>Steel UTS</t>
  </si>
  <si>
    <t>Required UTS</t>
  </si>
  <si>
    <t>Yak 55M - Wing Bolts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</si>
</sst>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sz val="11"/>
      <color rgb="FF9C6500"/>
      <name val="Calibri"/>
      <family val="2"/>
      <scheme val="minor"/>
    </font>
    <font>
      <b/>
      <sz val="11"/>
      <color theme="1"/>
      <name val="Calibri"/>
      <family val="2"/>
      <scheme val="minor"/>
    </font>
    <font>
      <sz val="10"/>
      <color theme="1"/>
      <name val="Arial"/>
      <family val="2"/>
    </font>
    <font>
      <b/>
      <sz val="24"/>
      <color rgb="FF000000"/>
      <name val="Calibri"/>
      <family val="2"/>
      <scheme val="minor"/>
    </font>
    <font>
      <b/>
      <i/>
      <sz val="11"/>
      <color theme="1"/>
      <name val="Calibri"/>
      <family val="2"/>
      <scheme val="minor"/>
    </font>
    <font>
      <u/>
      <sz val="11"/>
      <color theme="10"/>
      <name val="Calibri"/>
      <family val="2"/>
      <scheme val="minor"/>
    </font>
    <font>
      <b/>
      <sz val="12"/>
      <color theme="1"/>
      <name val="Calibri"/>
      <family val="2"/>
      <scheme val="minor"/>
    </font>
  </fonts>
  <fills count="6">
    <fill>
      <patternFill patternType="none"/>
    </fill>
    <fill>
      <patternFill patternType="gray125"/>
    </fill>
    <fill>
      <patternFill patternType="solid">
        <fgColor rgb="FFFFEB9C"/>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2" borderId="0" applyNumberFormat="0" applyBorder="0" applyAlignment="0" applyProtection="0"/>
    <xf numFmtId="0" fontId="7" fillId="0" borderId="0" applyNumberFormat="0" applyFill="0" applyBorder="0" applyAlignment="0" applyProtection="0"/>
  </cellStyleXfs>
  <cellXfs count="30">
    <xf numFmtId="0" fontId="0" fillId="0" borderId="0" xfId="0"/>
    <xf numFmtId="43" fontId="0" fillId="0" borderId="0" xfId="1" applyFont="1"/>
    <xf numFmtId="43" fontId="0" fillId="0" borderId="0" xfId="0" applyNumberFormat="1"/>
    <xf numFmtId="0" fontId="0" fillId="0" borderId="0" xfId="0" applyAlignment="1">
      <alignment horizontal="left" vertical="center" wrapText="1" indent="3"/>
    </xf>
    <xf numFmtId="0" fontId="0" fillId="0" borderId="0" xfId="0" applyAlignment="1">
      <alignment vertical="top" wrapText="1"/>
    </xf>
    <xf numFmtId="0" fontId="0" fillId="0" borderId="0" xfId="0" applyAlignment="1">
      <alignment vertical="center" wrapText="1"/>
    </xf>
    <xf numFmtId="0" fontId="0" fillId="0" borderId="0" xfId="0" applyAlignment="1">
      <alignment horizontal="center" vertical="top" wrapText="1"/>
    </xf>
    <xf numFmtId="0" fontId="3" fillId="0" borderId="0" xfId="0" applyFont="1"/>
    <xf numFmtId="0" fontId="6" fillId="0" borderId="0" xfId="0" applyFont="1"/>
    <xf numFmtId="43" fontId="0" fillId="3" borderId="0" xfId="1" applyFont="1" applyFill="1"/>
    <xf numFmtId="0" fontId="0" fillId="3" borderId="0" xfId="0" applyFill="1"/>
    <xf numFmtId="0" fontId="2" fillId="3" borderId="0" xfId="2" applyFill="1"/>
    <xf numFmtId="43" fontId="0" fillId="4" borderId="0" xfId="1" applyFont="1" applyFill="1"/>
    <xf numFmtId="43" fontId="0" fillId="5" borderId="0" xfId="1" applyFont="1" applyFill="1"/>
    <xf numFmtId="43" fontId="0" fillId="4" borderId="0" xfId="1" applyFont="1" applyFill="1" applyAlignment="1">
      <alignment horizontal="right"/>
    </xf>
    <xf numFmtId="0" fontId="7" fillId="0" borderId="0" xfId="3"/>
    <xf numFmtId="0" fontId="0" fillId="0" borderId="0" xfId="0" applyAlignment="1">
      <alignment horizontal="center"/>
    </xf>
    <xf numFmtId="164" fontId="0" fillId="0" borderId="0" xfId="1" applyNumberFormat="1" applyFont="1"/>
    <xf numFmtId="0" fontId="0" fillId="0" borderId="1" xfId="0" applyBorder="1"/>
    <xf numFmtId="0" fontId="0" fillId="0" borderId="1" xfId="0" applyBorder="1" applyAlignment="1">
      <alignment horizontal="center"/>
    </xf>
    <xf numFmtId="164" fontId="0" fillId="3" borderId="0" xfId="1" applyNumberFormat="1" applyFont="1" applyFill="1"/>
    <xf numFmtId="164" fontId="0" fillId="4" borderId="0" xfId="0" applyNumberFormat="1" applyFill="1"/>
    <xf numFmtId="164" fontId="0" fillId="4" borderId="0" xfId="1" applyNumberFormat="1" applyFont="1" applyFill="1"/>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8" fillId="0" borderId="0" xfId="0" applyFont="1" applyAlignment="1">
      <alignment horizontal="center"/>
    </xf>
  </cellXfs>
  <cellStyles count="4">
    <cellStyle name="Comma" xfId="1" builtinId="3"/>
    <cellStyle name="Hyperlink" xfId="3" builtinId="8"/>
    <cellStyle name="Neutral" xfId="2"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9524</xdr:colOff>
      <xdr:row>2</xdr:row>
      <xdr:rowOff>95249</xdr:rowOff>
    </xdr:from>
    <xdr:to>
      <xdr:col>7</xdr:col>
      <xdr:colOff>57149</xdr:colOff>
      <xdr:row>19</xdr:row>
      <xdr:rowOff>161924</xdr:rowOff>
    </xdr:to>
    <xdr:sp macro="" textlink="">
      <xdr:nvSpPr>
        <xdr:cNvPr id="2" name="Flowchart: Manual Operation 1"/>
        <xdr:cNvSpPr/>
      </xdr:nvSpPr>
      <xdr:spPr>
        <a:xfrm>
          <a:off x="3057524" y="476249"/>
          <a:ext cx="1266825" cy="3305175"/>
        </a:xfrm>
        <a:prstGeom prst="flowChartManualOperat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7</xdr:col>
      <xdr:colOff>247650</xdr:colOff>
      <xdr:row>39</xdr:row>
      <xdr:rowOff>161925</xdr:rowOff>
    </xdr:from>
    <xdr:to>
      <xdr:col>9</xdr:col>
      <xdr:colOff>6858</xdr:colOff>
      <xdr:row>42</xdr:row>
      <xdr:rowOff>75057</xdr:rowOff>
    </xdr:to>
    <xdr:sp macro="" textlink="">
      <xdr:nvSpPr>
        <xdr:cNvPr id="3" name="Right Arrow 2"/>
        <xdr:cNvSpPr/>
      </xdr:nvSpPr>
      <xdr:spPr>
        <a:xfrm>
          <a:off x="5534025" y="7591425"/>
          <a:ext cx="978408" cy="48463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9</xdr:col>
      <xdr:colOff>19050</xdr:colOff>
      <xdr:row>50</xdr:row>
      <xdr:rowOff>142875</xdr:rowOff>
    </xdr:from>
    <xdr:to>
      <xdr:col>10</xdr:col>
      <xdr:colOff>387858</xdr:colOff>
      <xdr:row>53</xdr:row>
      <xdr:rowOff>56007</xdr:rowOff>
    </xdr:to>
    <xdr:sp macro="" textlink="">
      <xdr:nvSpPr>
        <xdr:cNvPr id="6" name="Right Arrow 5"/>
        <xdr:cNvSpPr/>
      </xdr:nvSpPr>
      <xdr:spPr>
        <a:xfrm rot="10800000">
          <a:off x="6524625" y="9667875"/>
          <a:ext cx="978408" cy="48463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8</xdr:col>
      <xdr:colOff>342138</xdr:colOff>
      <xdr:row>43</xdr:row>
      <xdr:rowOff>134112</xdr:rowOff>
    </xdr:from>
    <xdr:to>
      <xdr:col>9</xdr:col>
      <xdr:colOff>217170</xdr:colOff>
      <xdr:row>48</xdr:row>
      <xdr:rowOff>160020</xdr:rowOff>
    </xdr:to>
    <xdr:sp macro="" textlink="">
      <xdr:nvSpPr>
        <xdr:cNvPr id="8" name="Right Arrow 7"/>
        <xdr:cNvSpPr/>
      </xdr:nvSpPr>
      <xdr:spPr>
        <a:xfrm rot="16200000">
          <a:off x="5991225" y="8572500"/>
          <a:ext cx="978408" cy="48463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editAs="oneCell">
    <xdr:from>
      <xdr:col>0</xdr:col>
      <xdr:colOff>0</xdr:colOff>
      <xdr:row>81</xdr:row>
      <xdr:rowOff>0</xdr:rowOff>
    </xdr:from>
    <xdr:to>
      <xdr:col>5</xdr:col>
      <xdr:colOff>476250</xdr:colOff>
      <xdr:row>97</xdr:row>
      <xdr:rowOff>28575</xdr:rowOff>
    </xdr:to>
    <xdr:pic>
      <xdr:nvPicPr>
        <xdr:cNvPr id="10" name="Picture 9" descr="figure1.gif (48639 byte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773650"/>
          <a:ext cx="4762500" cy="3076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110</xdr:row>
      <xdr:rowOff>142875</xdr:rowOff>
    </xdr:from>
    <xdr:to>
      <xdr:col>4</xdr:col>
      <xdr:colOff>333375</xdr:colOff>
      <xdr:row>117</xdr:row>
      <xdr:rowOff>0</xdr:rowOff>
    </xdr:to>
    <xdr:pic>
      <xdr:nvPicPr>
        <xdr:cNvPr id="12" name="Picture 11" descr="Part numb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4374475"/>
          <a:ext cx="3981450"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YS@2%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
  <sheetViews>
    <sheetView tabSelected="1" workbookViewId="0">
      <selection activeCell="B9" sqref="B9"/>
    </sheetView>
  </sheetViews>
  <sheetFormatPr defaultRowHeight="15" x14ac:dyDescent="0.25"/>
  <cols>
    <col min="2" max="2" width="23.42578125" customWidth="1"/>
    <col min="3" max="3" width="12.28515625" customWidth="1"/>
    <col min="4" max="4" width="9.85546875" customWidth="1"/>
    <col min="5" max="5" width="9.5703125" bestFit="1" customWidth="1"/>
    <col min="12" max="12" width="11.5703125" bestFit="1" customWidth="1"/>
    <col min="15" max="15" width="12.5703125" bestFit="1" customWidth="1"/>
    <col min="16" max="17" width="11.5703125" bestFit="1" customWidth="1"/>
    <col min="20" max="20" width="11.5703125" bestFit="1" customWidth="1"/>
  </cols>
  <sheetData>
    <row r="1" spans="1:11" ht="15.75" x14ac:dyDescent="0.25">
      <c r="A1" s="29" t="s">
        <v>106</v>
      </c>
      <c r="B1" s="29"/>
      <c r="C1" s="29"/>
      <c r="D1" s="29"/>
      <c r="E1" s="29"/>
      <c r="F1" s="29"/>
      <c r="G1" s="29"/>
      <c r="H1" s="29"/>
      <c r="I1" s="29"/>
      <c r="J1" s="29"/>
      <c r="K1" s="29"/>
    </row>
    <row r="2" spans="1:11" x14ac:dyDescent="0.25">
      <c r="G2" s="11">
        <v>2100</v>
      </c>
      <c r="H2" t="s">
        <v>29</v>
      </c>
    </row>
    <row r="9" spans="1:11" x14ac:dyDescent="0.25">
      <c r="C9" t="s">
        <v>73</v>
      </c>
    </row>
    <row r="12" spans="1:11" x14ac:dyDescent="0.25">
      <c r="H12" s="11">
        <v>3450</v>
      </c>
      <c r="I12" t="s">
        <v>29</v>
      </c>
    </row>
    <row r="21" spans="1:8" x14ac:dyDescent="0.25">
      <c r="G21" s="11">
        <v>1050</v>
      </c>
      <c r="H21" t="s">
        <v>29</v>
      </c>
    </row>
    <row r="24" spans="1:8" x14ac:dyDescent="0.25">
      <c r="A24" t="s">
        <v>74</v>
      </c>
      <c r="C24" s="1">
        <f>(G2+G21)/2*H12/1000000</f>
        <v>5.4337499999999999</v>
      </c>
      <c r="D24" t="s">
        <v>0</v>
      </c>
    </row>
    <row r="26" spans="1:8" x14ac:dyDescent="0.25">
      <c r="A26" t="s">
        <v>1</v>
      </c>
      <c r="C26" s="9">
        <f>1885/2.2046</f>
        <v>855.03039100063495</v>
      </c>
      <c r="D26" t="s">
        <v>2</v>
      </c>
    </row>
    <row r="27" spans="1:8" x14ac:dyDescent="0.25">
      <c r="A27" t="s">
        <v>3</v>
      </c>
      <c r="C27" s="10">
        <v>9</v>
      </c>
      <c r="D27" t="s">
        <v>4</v>
      </c>
    </row>
    <row r="28" spans="1:8" x14ac:dyDescent="0.25">
      <c r="A28" t="s">
        <v>5</v>
      </c>
      <c r="C28" s="10">
        <v>1.5</v>
      </c>
    </row>
    <row r="29" spans="1:8" x14ac:dyDescent="0.25">
      <c r="A29" t="s">
        <v>6</v>
      </c>
      <c r="C29" s="10">
        <v>2</v>
      </c>
    </row>
    <row r="30" spans="1:8" x14ac:dyDescent="0.25">
      <c r="A30" t="s">
        <v>7</v>
      </c>
      <c r="C30" s="1">
        <f>+C26*C27*C28/C29</f>
        <v>5771.4551392542862</v>
      </c>
      <c r="D30" t="s">
        <v>2</v>
      </c>
    </row>
    <row r="31" spans="1:8" x14ac:dyDescent="0.25">
      <c r="A31" t="s">
        <v>9</v>
      </c>
      <c r="C31" s="1">
        <f>+C30/C24</f>
        <v>1062.1495540380558</v>
      </c>
      <c r="D31" t="s">
        <v>8</v>
      </c>
    </row>
    <row r="33" spans="1:10" x14ac:dyDescent="0.25">
      <c r="A33" t="s">
        <v>10</v>
      </c>
    </row>
    <row r="34" spans="1:10" x14ac:dyDescent="0.25">
      <c r="B34" t="s">
        <v>11</v>
      </c>
      <c r="C34" s="1">
        <f>+C31*G21/1000</f>
        <v>1115.2570317399586</v>
      </c>
      <c r="D34" t="s">
        <v>12</v>
      </c>
    </row>
    <row r="35" spans="1:10" x14ac:dyDescent="0.25">
      <c r="B35" t="s">
        <v>15</v>
      </c>
      <c r="C35" s="1">
        <f>+C31*H12*G21/1000000</f>
        <v>3847.6367595028578</v>
      </c>
      <c r="D35" t="s">
        <v>2</v>
      </c>
    </row>
    <row r="36" spans="1:10" x14ac:dyDescent="0.25">
      <c r="B36" t="s">
        <v>16</v>
      </c>
      <c r="C36" s="1">
        <f>+C35*H12/2000</f>
        <v>6637.1734101424299</v>
      </c>
      <c r="D36" t="s">
        <v>13</v>
      </c>
    </row>
    <row r="37" spans="1:10" x14ac:dyDescent="0.25">
      <c r="A37" t="s">
        <v>14</v>
      </c>
    </row>
    <row r="38" spans="1:10" x14ac:dyDescent="0.25">
      <c r="B38" t="s">
        <v>15</v>
      </c>
      <c r="C38" s="2">
        <f>(G2-G21)*H12/2000000*C31</f>
        <v>1923.8183797514287</v>
      </c>
      <c r="D38" t="s">
        <v>2</v>
      </c>
      <c r="E38" s="2">
        <f>+C38+C35</f>
        <v>5771.4551392542862</v>
      </c>
      <c r="F38" t="s">
        <v>17</v>
      </c>
    </row>
    <row r="39" spans="1:10" x14ac:dyDescent="0.25">
      <c r="B39" t="s">
        <v>18</v>
      </c>
      <c r="C39" s="1">
        <f>+C38*H12/3000</f>
        <v>2212.3911367141432</v>
      </c>
      <c r="D39" t="s">
        <v>13</v>
      </c>
    </row>
    <row r="41" spans="1:10" x14ac:dyDescent="0.25">
      <c r="A41" t="s">
        <v>19</v>
      </c>
      <c r="C41" s="2">
        <f>+C36+C39</f>
        <v>8849.5645468565726</v>
      </c>
      <c r="D41" t="s">
        <v>13</v>
      </c>
    </row>
    <row r="42" spans="1:10" x14ac:dyDescent="0.25">
      <c r="G42" t="s">
        <v>20</v>
      </c>
    </row>
    <row r="43" spans="1:10" x14ac:dyDescent="0.25">
      <c r="A43" t="s">
        <v>21</v>
      </c>
      <c r="B43" t="s">
        <v>25</v>
      </c>
      <c r="C43" s="1">
        <f>+C41/J44*1000</f>
        <v>27654.88920892679</v>
      </c>
      <c r="D43" t="s">
        <v>2</v>
      </c>
    </row>
    <row r="44" spans="1:10" x14ac:dyDescent="0.25">
      <c r="B44" t="s">
        <v>22</v>
      </c>
      <c r="C44" s="2">
        <f>+C30</f>
        <v>5771.4551392542862</v>
      </c>
      <c r="D44" t="s">
        <v>2</v>
      </c>
      <c r="J44">
        <v>320</v>
      </c>
    </row>
    <row r="46" spans="1:10" x14ac:dyDescent="0.25">
      <c r="B46" t="s">
        <v>23</v>
      </c>
      <c r="C46" s="1">
        <f>+C44/2</f>
        <v>2885.7275696271431</v>
      </c>
      <c r="D46" t="s">
        <v>2</v>
      </c>
    </row>
    <row r="47" spans="1:10" x14ac:dyDescent="0.25">
      <c r="B47" t="s">
        <v>24</v>
      </c>
      <c r="C47" s="1">
        <f>+C46/2</f>
        <v>1442.8637848135716</v>
      </c>
      <c r="D47" t="s">
        <v>2</v>
      </c>
      <c r="H47" t="s">
        <v>22</v>
      </c>
    </row>
    <row r="49" spans="1:11" x14ac:dyDescent="0.25">
      <c r="B49" t="s">
        <v>26</v>
      </c>
      <c r="C49" s="2">
        <f>+C43</f>
        <v>27654.88920892679</v>
      </c>
      <c r="D49" t="s">
        <v>2</v>
      </c>
    </row>
    <row r="50" spans="1:11" x14ac:dyDescent="0.25">
      <c r="B50" t="s">
        <v>27</v>
      </c>
      <c r="C50" s="2">
        <f>+C49/2</f>
        <v>13827.444604463395</v>
      </c>
      <c r="D50" t="s">
        <v>2</v>
      </c>
    </row>
    <row r="51" spans="1:11" x14ac:dyDescent="0.25">
      <c r="K51" t="s">
        <v>20</v>
      </c>
    </row>
    <row r="52" spans="1:11" x14ac:dyDescent="0.25">
      <c r="B52" t="s">
        <v>28</v>
      </c>
      <c r="C52" s="2">
        <f>(+C47^2+C50^2)^0.5</f>
        <v>13902.520641632955</v>
      </c>
      <c r="D52" t="s">
        <v>2</v>
      </c>
    </row>
    <row r="54" spans="1:11" x14ac:dyDescent="0.25">
      <c r="A54" t="s">
        <v>30</v>
      </c>
      <c r="C54" s="10">
        <v>20</v>
      </c>
      <c r="D54" t="s">
        <v>29</v>
      </c>
    </row>
    <row r="55" spans="1:11" x14ac:dyDescent="0.25">
      <c r="A55" t="s">
        <v>31</v>
      </c>
      <c r="C55" s="1">
        <f>PI()*C54^2/4</f>
        <v>314.15926535897933</v>
      </c>
      <c r="D55" t="s">
        <v>32</v>
      </c>
    </row>
    <row r="57" spans="1:11" x14ac:dyDescent="0.25">
      <c r="A57" t="s">
        <v>33</v>
      </c>
      <c r="C57" s="2">
        <f>+C52/C55</f>
        <v>44.253097631059859</v>
      </c>
      <c r="D57" t="s">
        <v>34</v>
      </c>
    </row>
    <row r="58" spans="1:11" x14ac:dyDescent="0.25">
      <c r="C58" s="1">
        <f>+C57*2.2046</f>
        <v>97.560379037434572</v>
      </c>
      <c r="D58" t="s">
        <v>35</v>
      </c>
      <c r="E58">
        <v>2.2046000000000001</v>
      </c>
    </row>
    <row r="59" spans="1:11" x14ac:dyDescent="0.25">
      <c r="C59" s="1">
        <f>+C58*E59^2</f>
        <v>62942.054139791282</v>
      </c>
      <c r="D59" t="s">
        <v>36</v>
      </c>
      <c r="E59">
        <v>25.4</v>
      </c>
    </row>
    <row r="60" spans="1:11" x14ac:dyDescent="0.25">
      <c r="A60" t="s">
        <v>37</v>
      </c>
      <c r="C60" s="10">
        <v>1.75</v>
      </c>
    </row>
    <row r="61" spans="1:11" x14ac:dyDescent="0.25">
      <c r="A61" t="s">
        <v>72</v>
      </c>
      <c r="C61" s="13">
        <f>+C59*C60</f>
        <v>110148.59474463474</v>
      </c>
      <c r="D61" t="s">
        <v>36</v>
      </c>
    </row>
    <row r="62" spans="1:11" x14ac:dyDescent="0.25">
      <c r="A62" t="s">
        <v>103</v>
      </c>
      <c r="C62" s="12">
        <f>+K78</f>
        <v>109629.99999999999</v>
      </c>
      <c r="D62" t="s">
        <v>36</v>
      </c>
      <c r="E62" t="str">
        <f>+A69</f>
        <v>17-4 PH SS H900</v>
      </c>
    </row>
    <row r="63" spans="1:11" x14ac:dyDescent="0.25">
      <c r="A63" t="s">
        <v>38</v>
      </c>
      <c r="C63" s="1">
        <f>1/0.577</f>
        <v>1.733102253032929</v>
      </c>
    </row>
    <row r="64" spans="1:11" x14ac:dyDescent="0.25">
      <c r="A64" t="s">
        <v>105</v>
      </c>
      <c r="C64" s="13">
        <f>+C59*C60*C63</f>
        <v>190898.7777203375</v>
      </c>
      <c r="D64" t="s">
        <v>36</v>
      </c>
    </row>
    <row r="65" spans="1:11" x14ac:dyDescent="0.25">
      <c r="A65" t="s">
        <v>104</v>
      </c>
      <c r="C65" s="14">
        <f>+J78</f>
        <v>190000</v>
      </c>
      <c r="D65" t="s">
        <v>36</v>
      </c>
      <c r="E65" t="str">
        <f>+A72</f>
        <v>17-4 PH SS H900</v>
      </c>
    </row>
    <row r="69" spans="1:11" x14ac:dyDescent="0.25">
      <c r="A69" t="s">
        <v>90</v>
      </c>
    </row>
    <row r="70" spans="1:11" x14ac:dyDescent="0.25">
      <c r="C70" s="23" t="s">
        <v>96</v>
      </c>
      <c r="D70" s="24"/>
      <c r="E70" s="25"/>
      <c r="F70" s="23" t="s">
        <v>97</v>
      </c>
      <c r="G70" s="24"/>
      <c r="H70" s="25"/>
      <c r="I70" s="19" t="s">
        <v>98</v>
      </c>
      <c r="J70" s="19" t="s">
        <v>99</v>
      </c>
      <c r="K70" s="18" t="s">
        <v>100</v>
      </c>
    </row>
    <row r="71" spans="1:11" x14ac:dyDescent="0.25">
      <c r="D71" s="16" t="s">
        <v>92</v>
      </c>
      <c r="E71" s="16" t="s">
        <v>36</v>
      </c>
      <c r="F71" s="16"/>
      <c r="G71" s="16" t="s">
        <v>92</v>
      </c>
      <c r="H71" s="16" t="s">
        <v>36</v>
      </c>
      <c r="I71" s="16" t="s">
        <v>36</v>
      </c>
      <c r="J71" s="16" t="s">
        <v>36</v>
      </c>
      <c r="K71" s="16" t="s">
        <v>36</v>
      </c>
    </row>
    <row r="72" spans="1:11" x14ac:dyDescent="0.25">
      <c r="A72" t="s">
        <v>90</v>
      </c>
      <c r="C72" t="s">
        <v>91</v>
      </c>
      <c r="D72" s="10">
        <v>1380</v>
      </c>
      <c r="E72" s="17">
        <f>+D72/9.81*2.2046*25.4^2</f>
        <v>200081.6754006116</v>
      </c>
      <c r="F72" t="s">
        <v>94</v>
      </c>
      <c r="G72" s="10">
        <v>1340</v>
      </c>
      <c r="H72" s="20">
        <v>195000</v>
      </c>
      <c r="I72" s="20">
        <v>200000</v>
      </c>
      <c r="J72" s="20">
        <v>198000</v>
      </c>
      <c r="K72" s="20">
        <v>190000</v>
      </c>
    </row>
    <row r="73" spans="1:11" x14ac:dyDescent="0.25">
      <c r="C73" t="s">
        <v>93</v>
      </c>
      <c r="D73" s="10">
        <v>1275</v>
      </c>
      <c r="E73" s="17">
        <f>+D73/9.81*2.2046*25.4^2</f>
        <v>184858.06966360856</v>
      </c>
      <c r="F73" s="15" t="s">
        <v>95</v>
      </c>
      <c r="G73" s="10">
        <v>1240</v>
      </c>
      <c r="H73" s="20">
        <v>180000</v>
      </c>
      <c r="I73" s="20">
        <v>185000</v>
      </c>
      <c r="J73" s="20">
        <v>183000</v>
      </c>
      <c r="K73" s="20">
        <v>170000</v>
      </c>
    </row>
    <row r="75" spans="1:11" x14ac:dyDescent="0.25">
      <c r="K75" s="10">
        <v>0.57699999999999996</v>
      </c>
    </row>
    <row r="76" spans="1:11" x14ac:dyDescent="0.25">
      <c r="J76" t="s">
        <v>101</v>
      </c>
      <c r="K76" t="s">
        <v>102</v>
      </c>
    </row>
    <row r="78" spans="1:11" x14ac:dyDescent="0.25">
      <c r="J78" s="21">
        <f>+K72</f>
        <v>190000</v>
      </c>
      <c r="K78" s="22">
        <f>+J78*K75</f>
        <v>109629.99999999999</v>
      </c>
    </row>
    <row r="79" spans="1:11" x14ac:dyDescent="0.25">
      <c r="J79" s="21">
        <f>+K73</f>
        <v>170000</v>
      </c>
    </row>
    <row r="80" spans="1:11" ht="150.75" customHeight="1" x14ac:dyDescent="0.25">
      <c r="A80" s="27" t="s">
        <v>39</v>
      </c>
      <c r="B80" s="27"/>
      <c r="C80" s="27"/>
      <c r="D80" s="27"/>
      <c r="E80" s="27"/>
      <c r="F80" s="27"/>
    </row>
    <row r="81" spans="1:1" x14ac:dyDescent="0.25">
      <c r="A81" s="3"/>
    </row>
    <row r="82" spans="1:1" x14ac:dyDescent="0.25">
      <c r="A82" s="26"/>
    </row>
    <row r="83" spans="1:1" x14ac:dyDescent="0.25">
      <c r="A83" s="26"/>
    </row>
    <row r="84" spans="1:1" x14ac:dyDescent="0.25">
      <c r="A84" s="26"/>
    </row>
    <row r="85" spans="1:1" x14ac:dyDescent="0.25">
      <c r="A85" s="26"/>
    </row>
    <row r="86" spans="1:1" x14ac:dyDescent="0.25">
      <c r="A86" s="26"/>
    </row>
    <row r="87" spans="1:1" x14ac:dyDescent="0.25">
      <c r="A87" s="26"/>
    </row>
    <row r="88" spans="1:1" x14ac:dyDescent="0.25">
      <c r="A88" s="26"/>
    </row>
    <row r="89" spans="1:1" x14ac:dyDescent="0.25">
      <c r="A89" s="26"/>
    </row>
    <row r="90" spans="1:1" x14ac:dyDescent="0.25">
      <c r="A90" s="26"/>
    </row>
    <row r="91" spans="1:1" x14ac:dyDescent="0.25">
      <c r="A91" s="26"/>
    </row>
    <row r="92" spans="1:1" x14ac:dyDescent="0.25">
      <c r="A92" s="26"/>
    </row>
    <row r="93" spans="1:1" x14ac:dyDescent="0.25">
      <c r="A93" s="26"/>
    </row>
    <row r="94" spans="1:1" x14ac:dyDescent="0.25">
      <c r="A94" s="26"/>
    </row>
    <row r="95" spans="1:1" x14ac:dyDescent="0.25">
      <c r="A95" s="26"/>
    </row>
    <row r="96" spans="1:1" x14ac:dyDescent="0.25">
      <c r="A96" s="26"/>
    </row>
    <row r="97" spans="1:7" x14ac:dyDescent="0.25">
      <c r="A97" s="26"/>
    </row>
    <row r="100" spans="1:7" ht="37.5" customHeight="1" x14ac:dyDescent="0.25">
      <c r="A100" s="28" t="s">
        <v>40</v>
      </c>
      <c r="B100" s="28"/>
      <c r="C100" s="28"/>
      <c r="D100" s="28"/>
      <c r="E100" s="28"/>
      <c r="F100" s="28"/>
      <c r="G100" s="28"/>
    </row>
    <row r="101" spans="1:7" x14ac:dyDescent="0.25">
      <c r="A101" s="4"/>
    </row>
    <row r="102" spans="1:7" ht="168.75" customHeight="1" x14ac:dyDescent="0.25">
      <c r="A102" s="26" t="s">
        <v>41</v>
      </c>
      <c r="B102" s="26"/>
      <c r="C102" s="26"/>
      <c r="D102" s="26"/>
      <c r="E102" s="26"/>
      <c r="F102" s="26"/>
      <c r="G102" s="26"/>
    </row>
    <row r="103" spans="1:7" x14ac:dyDescent="0.25">
      <c r="A103" s="5"/>
    </row>
    <row r="104" spans="1:7" ht="54" customHeight="1" x14ac:dyDescent="0.25">
      <c r="A104" s="26" t="s">
        <v>42</v>
      </c>
      <c r="B104" s="26"/>
      <c r="C104" s="26"/>
      <c r="D104" s="26"/>
      <c r="E104" s="26"/>
      <c r="F104" s="26"/>
      <c r="G104" s="26"/>
    </row>
    <row r="105" spans="1:7" x14ac:dyDescent="0.25">
      <c r="A105" s="5"/>
    </row>
    <row r="106" spans="1:7" ht="33.75" customHeight="1" x14ac:dyDescent="0.25">
      <c r="A106" s="26" t="s">
        <v>43</v>
      </c>
      <c r="B106" s="26"/>
      <c r="C106" s="26"/>
      <c r="D106" s="26"/>
      <c r="E106" s="26"/>
      <c r="F106" s="26"/>
      <c r="G106" s="26"/>
    </row>
    <row r="107" spans="1:7" x14ac:dyDescent="0.25">
      <c r="A107" s="5"/>
    </row>
    <row r="108" spans="1:7" ht="63" customHeight="1" x14ac:dyDescent="0.25">
      <c r="A108" s="26" t="s">
        <v>44</v>
      </c>
      <c r="B108" s="26"/>
      <c r="C108" s="26"/>
      <c r="D108" s="26"/>
      <c r="E108" s="26"/>
      <c r="F108" s="26"/>
      <c r="G108" s="26"/>
    </row>
    <row r="109" spans="1:7" x14ac:dyDescent="0.25">
      <c r="A109" s="5"/>
    </row>
    <row r="110" spans="1:7" ht="65.25" customHeight="1" x14ac:dyDescent="0.25">
      <c r="A110" s="26" t="s">
        <v>45</v>
      </c>
      <c r="B110" s="26"/>
      <c r="C110" s="26"/>
      <c r="D110" s="26"/>
      <c r="E110" s="26"/>
      <c r="F110" s="26"/>
      <c r="G110" s="26"/>
    </row>
    <row r="111" spans="1:7" x14ac:dyDescent="0.25">
      <c r="A111" s="6"/>
    </row>
    <row r="122" spans="1:1" x14ac:dyDescent="0.25">
      <c r="A122" s="7" t="s">
        <v>46</v>
      </c>
    </row>
    <row r="123" spans="1:1" x14ac:dyDescent="0.25">
      <c r="A123" t="s">
        <v>47</v>
      </c>
    </row>
    <row r="124" spans="1:1" x14ac:dyDescent="0.25">
      <c r="A124" t="s">
        <v>48</v>
      </c>
    </row>
    <row r="125" spans="1:1" x14ac:dyDescent="0.25">
      <c r="A125" t="s">
        <v>49</v>
      </c>
    </row>
    <row r="126" spans="1:1" x14ac:dyDescent="0.25">
      <c r="A126" t="s">
        <v>50</v>
      </c>
    </row>
    <row r="127" spans="1:1" x14ac:dyDescent="0.25">
      <c r="A127" t="s">
        <v>51</v>
      </c>
    </row>
    <row r="128" spans="1:1" x14ac:dyDescent="0.25">
      <c r="A128" t="s">
        <v>52</v>
      </c>
    </row>
    <row r="129" spans="1:1" x14ac:dyDescent="0.25">
      <c r="A129" t="s">
        <v>53</v>
      </c>
    </row>
    <row r="130" spans="1:1" x14ac:dyDescent="0.25">
      <c r="A130" t="s">
        <v>54</v>
      </c>
    </row>
    <row r="131" spans="1:1" x14ac:dyDescent="0.25">
      <c r="A131" t="s">
        <v>55</v>
      </c>
    </row>
    <row r="132" spans="1:1" x14ac:dyDescent="0.25">
      <c r="A132" t="s">
        <v>56</v>
      </c>
    </row>
    <row r="133" spans="1:1" x14ac:dyDescent="0.25">
      <c r="A133" t="s">
        <v>57</v>
      </c>
    </row>
    <row r="135" spans="1:1" x14ac:dyDescent="0.25">
      <c r="A135" s="7" t="s">
        <v>58</v>
      </c>
    </row>
    <row r="136" spans="1:1" x14ac:dyDescent="0.25">
      <c r="A136" t="s">
        <v>59</v>
      </c>
    </row>
    <row r="137" spans="1:1" x14ac:dyDescent="0.25">
      <c r="A137" t="s">
        <v>60</v>
      </c>
    </row>
    <row r="138" spans="1:1" x14ac:dyDescent="0.25">
      <c r="A138" t="s">
        <v>61</v>
      </c>
    </row>
    <row r="139" spans="1:1" x14ac:dyDescent="0.25">
      <c r="A139" t="s">
        <v>62</v>
      </c>
    </row>
    <row r="140" spans="1:1" x14ac:dyDescent="0.25">
      <c r="A140" t="s">
        <v>63</v>
      </c>
    </row>
    <row r="141" spans="1:1" x14ac:dyDescent="0.25">
      <c r="A141" t="s">
        <v>64</v>
      </c>
    </row>
    <row r="142" spans="1:1" x14ac:dyDescent="0.25">
      <c r="A142" t="s">
        <v>65</v>
      </c>
    </row>
    <row r="143" spans="1:1" x14ac:dyDescent="0.25">
      <c r="A143" t="s">
        <v>66</v>
      </c>
    </row>
    <row r="144" spans="1:1" x14ac:dyDescent="0.25">
      <c r="A144" t="s">
        <v>67</v>
      </c>
    </row>
    <row r="145" spans="1:10" x14ac:dyDescent="0.25">
      <c r="A145" s="8" t="s">
        <v>68</v>
      </c>
      <c r="B145" s="8"/>
      <c r="C145" s="8"/>
      <c r="D145" s="8"/>
    </row>
    <row r="146" spans="1:10" x14ac:dyDescent="0.25">
      <c r="A146" s="8" t="s">
        <v>69</v>
      </c>
      <c r="B146" s="8"/>
      <c r="C146" s="8"/>
      <c r="D146" s="8"/>
    </row>
    <row r="147" spans="1:10" x14ac:dyDescent="0.25">
      <c r="A147" t="s">
        <v>70</v>
      </c>
    </row>
    <row r="148" spans="1:10" x14ac:dyDescent="0.25">
      <c r="A148" t="s">
        <v>71</v>
      </c>
    </row>
    <row r="151" spans="1:10" x14ac:dyDescent="0.25">
      <c r="H151" t="s">
        <v>75</v>
      </c>
    </row>
    <row r="152" spans="1:10" x14ac:dyDescent="0.25">
      <c r="A152" t="s">
        <v>76</v>
      </c>
      <c r="C152" t="s">
        <v>77</v>
      </c>
      <c r="D152" t="s">
        <v>78</v>
      </c>
      <c r="E152" t="s">
        <v>78</v>
      </c>
      <c r="F152" t="s">
        <v>79</v>
      </c>
      <c r="H152" t="s">
        <v>77</v>
      </c>
      <c r="I152" t="s">
        <v>78</v>
      </c>
    </row>
    <row r="153" spans="1:10" x14ac:dyDescent="0.25">
      <c r="A153" t="s">
        <v>80</v>
      </c>
      <c r="C153" s="10">
        <v>20.55</v>
      </c>
      <c r="D153" s="10">
        <v>20.58</v>
      </c>
      <c r="E153" s="10">
        <v>20.71</v>
      </c>
      <c r="F153" s="11">
        <v>20.440000000000001</v>
      </c>
      <c r="H153">
        <f t="shared" ref="H153" si="0">+C153-F153</f>
        <v>0.10999999999999943</v>
      </c>
      <c r="I153">
        <f>+D153-F153</f>
        <v>0.13999999999999702</v>
      </c>
      <c r="J153">
        <f>+E153-F153</f>
        <v>0.26999999999999957</v>
      </c>
    </row>
    <row r="154" spans="1:10" x14ac:dyDescent="0.25">
      <c r="A154" t="s">
        <v>81</v>
      </c>
      <c r="C154" s="10">
        <v>20.51</v>
      </c>
      <c r="D154" s="10">
        <v>20.51</v>
      </c>
      <c r="F154" s="11">
        <v>20.440000000000001</v>
      </c>
      <c r="H154">
        <f t="shared" ref="H154" si="1">+C154-F154</f>
        <v>7.0000000000000284E-2</v>
      </c>
      <c r="I154">
        <f>+D154-F154</f>
        <v>7.0000000000000284E-2</v>
      </c>
    </row>
    <row r="155" spans="1:10" x14ac:dyDescent="0.25">
      <c r="A155" t="s">
        <v>82</v>
      </c>
      <c r="C155" s="10">
        <v>8.0399999999999991</v>
      </c>
      <c r="D155" s="10">
        <v>8.08</v>
      </c>
      <c r="F155" s="11">
        <v>7.89</v>
      </c>
      <c r="H155">
        <f t="shared" ref="H155" si="2">+C155-F155</f>
        <v>0.14999999999999947</v>
      </c>
      <c r="I155">
        <f>+D155-F155</f>
        <v>0.19000000000000039</v>
      </c>
    </row>
    <row r="157" spans="1:10" x14ac:dyDescent="0.25">
      <c r="A157" t="s">
        <v>83</v>
      </c>
    </row>
    <row r="158" spans="1:10" x14ac:dyDescent="0.25">
      <c r="A158" t="s">
        <v>80</v>
      </c>
      <c r="C158" s="10">
        <v>20.53</v>
      </c>
      <c r="D158" s="10">
        <v>20.52</v>
      </c>
      <c r="F158" s="10">
        <v>20.440000000000001</v>
      </c>
      <c r="H158">
        <f t="shared" ref="H158:H160" si="3">+C158-F158</f>
        <v>8.9999999999999858E-2</v>
      </c>
      <c r="I158">
        <f t="shared" ref="I158:I160" si="4">+D158-F158</f>
        <v>7.9999999999998295E-2</v>
      </c>
    </row>
    <row r="159" spans="1:10" x14ac:dyDescent="0.25">
      <c r="A159" t="s">
        <v>81</v>
      </c>
      <c r="C159" s="10">
        <v>20.51</v>
      </c>
      <c r="D159" s="10">
        <v>20.53</v>
      </c>
      <c r="F159" s="10">
        <v>20.440000000000001</v>
      </c>
      <c r="H159">
        <f t="shared" si="3"/>
        <v>7.0000000000000284E-2</v>
      </c>
      <c r="I159">
        <f t="shared" si="4"/>
        <v>8.9999999999999858E-2</v>
      </c>
    </row>
    <row r="160" spans="1:10" x14ac:dyDescent="0.25">
      <c r="A160" t="s">
        <v>82</v>
      </c>
      <c r="C160" s="10">
        <v>8.06</v>
      </c>
      <c r="D160" s="10">
        <v>8.0399999999999991</v>
      </c>
      <c r="F160" s="10">
        <v>7.9</v>
      </c>
      <c r="H160">
        <f t="shared" si="3"/>
        <v>0.16000000000000014</v>
      </c>
      <c r="I160">
        <f t="shared" si="4"/>
        <v>0.13999999999999879</v>
      </c>
    </row>
    <row r="162" spans="1:4" x14ac:dyDescent="0.25">
      <c r="A162" t="s">
        <v>85</v>
      </c>
      <c r="C162">
        <f>+H158+I158+H159+I159</f>
        <v>0.32999999999999829</v>
      </c>
      <c r="D162" t="s">
        <v>29</v>
      </c>
    </row>
    <row r="163" spans="1:4" x14ac:dyDescent="0.25">
      <c r="A163" t="s">
        <v>84</v>
      </c>
      <c r="C163" s="13">
        <f>+C162*H$12/J$44</f>
        <v>3.5578124999999816</v>
      </c>
      <c r="D163" t="s">
        <v>29</v>
      </c>
    </row>
    <row r="164" spans="1:4" x14ac:dyDescent="0.25">
      <c r="C164" s="1"/>
    </row>
    <row r="165" spans="1:4" x14ac:dyDescent="0.25">
      <c r="C165" s="1"/>
    </row>
    <row r="166" spans="1:4" x14ac:dyDescent="0.25">
      <c r="A166" t="s">
        <v>88</v>
      </c>
      <c r="C166" s="1"/>
    </row>
    <row r="168" spans="1:4" x14ac:dyDescent="0.25">
      <c r="A168" t="s">
        <v>86</v>
      </c>
      <c r="C168">
        <f>+H153+I153+H154+I154</f>
        <v>0.38999999999999702</v>
      </c>
      <c r="D168" t="s">
        <v>29</v>
      </c>
    </row>
    <row r="169" spans="1:4" x14ac:dyDescent="0.25">
      <c r="A169" t="s">
        <v>87</v>
      </c>
      <c r="C169" s="13">
        <f>+C168*H$12/J$44</f>
        <v>4.2046874999999684</v>
      </c>
      <c r="D169" t="s">
        <v>29</v>
      </c>
    </row>
    <row r="171" spans="1:4" x14ac:dyDescent="0.25">
      <c r="A171" t="s">
        <v>89</v>
      </c>
    </row>
    <row r="173" spans="1:4" x14ac:dyDescent="0.25">
      <c r="A173" t="s">
        <v>86</v>
      </c>
      <c r="C173">
        <f>+H153+J153+H154+I154</f>
        <v>0.51999999999999957</v>
      </c>
      <c r="D173" t="s">
        <v>29</v>
      </c>
    </row>
    <row r="174" spans="1:4" x14ac:dyDescent="0.25">
      <c r="A174" t="s">
        <v>87</v>
      </c>
      <c r="C174" s="13">
        <f>+C173*H$12/J$44</f>
        <v>5.6062499999999957</v>
      </c>
      <c r="D174" t="s">
        <v>29</v>
      </c>
    </row>
  </sheetData>
  <mergeCells count="11">
    <mergeCell ref="A1:K1"/>
    <mergeCell ref="C70:E70"/>
    <mergeCell ref="F70:H70"/>
    <mergeCell ref="A108:G108"/>
    <mergeCell ref="A110:G110"/>
    <mergeCell ref="A82:A97"/>
    <mergeCell ref="A80:F80"/>
    <mergeCell ref="A102:G102"/>
    <mergeCell ref="A100:G100"/>
    <mergeCell ref="A104:G104"/>
    <mergeCell ref="A106:G106"/>
  </mergeCells>
  <hyperlinks>
    <hyperlink ref="F73" r:id="rId1"/>
  </hyperlinks>
  <pageMargins left="0.70866141732283472" right="0.70866141732283472" top="0.74803149606299213" bottom="0.74803149606299213" header="0.31496062992125984" footer="0.31496062992125984"/>
  <pageSetup orientation="landscape" horizontalDpi="0" verticalDpi="0" r:id="rId2"/>
  <headerFooter>
    <oddFooter>&amp;L&amp;F&amp;C&amp;P of &amp;N&amp;R&amp;D</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Royd</dc:creator>
  <cp:lastModifiedBy>Royd</cp:lastModifiedBy>
  <cp:lastPrinted>2013-10-06T19:06:59Z</cp:lastPrinted>
  <dcterms:created xsi:type="dcterms:W3CDTF">2013-09-30T00:27:49Z</dcterms:created>
  <dcterms:modified xsi:type="dcterms:W3CDTF">2013-10-06T19:09:07Z</dcterms:modified>
</cp:coreProperties>
</file>